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8975" windowHeight="8535" activeTab="0"/>
  </bookViews>
  <sheets>
    <sheet name="Blad1" sheetId="1" r:id="rId1"/>
    <sheet name="Blad2" sheetId="2" r:id="rId2"/>
    <sheet name="Blad3" sheetId="3" r:id="rId3"/>
  </sheets>
  <definedNames>
    <definedName name="A3xa7">'Blad1'!$A$8:$A$9</definedName>
  </definedNames>
  <calcPr fullCalcOnLoad="1"/>
</workbook>
</file>

<file path=xl/sharedStrings.xml><?xml version="1.0" encoding="utf-8"?>
<sst xmlns="http://schemas.openxmlformats.org/spreadsheetml/2006/main" count="95" uniqueCount="86">
  <si>
    <t>meter</t>
  </si>
  <si>
    <t>Kg</t>
  </si>
  <si>
    <t>g/l</t>
  </si>
  <si>
    <t>gewicht auto</t>
  </si>
  <si>
    <t>Traject rotonde</t>
  </si>
  <si>
    <t>Benzine</t>
  </si>
  <si>
    <t>Liter per</t>
  </si>
  <si>
    <t>km</t>
  </si>
  <si>
    <t>Gebruik</t>
  </si>
  <si>
    <t>bij constant</t>
  </si>
  <si>
    <t>km/h</t>
  </si>
  <si>
    <t>Energie benzine tot Energie wielen</t>
  </si>
  <si>
    <t>%</t>
  </si>
  <si>
    <t>Schatting</t>
  </si>
  <si>
    <t xml:space="preserve">Verbrandingswaarde Van benzine </t>
  </si>
  <si>
    <t>kJ/g</t>
  </si>
  <si>
    <t xml:space="preserve">Afremmen tot </t>
  </si>
  <si>
    <t>1 (150/15000)*725=7g</t>
  </si>
  <si>
    <t>3 [0,5*1500*{(80/3,6)2-(30/3,6)2}]/(0,3*43000)=25g</t>
  </si>
  <si>
    <t>bij rotonde</t>
  </si>
  <si>
    <t>bij kruising</t>
  </si>
  <si>
    <t>(150/15000)*725=7 g</t>
  </si>
  <si>
    <t>{0,5*1500*(80/3,6)2}/(0,3*43000)=29 g</t>
  </si>
  <si>
    <t>↙</t>
  </si>
  <si>
    <t>[0,5*1500*{(80/3,6)2-(30/3,6)2}]/(0,3*43000)=25 g</t>
  </si>
  <si>
    <t>van km/h naar m/s is gedeeld door 3,6</t>
  </si>
  <si>
    <t>Met de gegeven formule is het alleen mogelijk het aantal km/uur  te veranderen t.o.v. ongestoord doorrijden</t>
  </si>
  <si>
    <t>benzine:</t>
  </si>
  <si>
    <t>Co2 uitstoot berekenen uit het brandstofverbruik</t>
  </si>
  <si>
    <t xml:space="preserve">1 liter benzine weegt 725 gram. </t>
  </si>
  <si>
    <t xml:space="preserve">Benzine bestaat voor 87% uit koolstof, of 631 gram koolstof per liter benzine. </t>
  </si>
  <si>
    <t xml:space="preserve">Om deze koolstof te verbranden tot CO2 is 1934 gram zuurstof nodig. </t>
  </si>
  <si>
    <t>aantal gr zuurstof is 2,668 x gr.koolstof</t>
  </si>
  <si>
    <t>De som is dus 631 + 1934 = 2565 gram CO2/liter benzine.</t>
  </si>
  <si>
    <t xml:space="preserve">Met </t>
  </si>
  <si>
    <t>L x</t>
  </si>
  <si>
    <t>g Co2/km</t>
  </si>
  <si>
    <t xml:space="preserve">Een verbruik van </t>
  </si>
  <si>
    <t>diesel:</t>
  </si>
  <si>
    <t>LPG:</t>
  </si>
  <si>
    <t>CNG:</t>
  </si>
  <si>
    <t>Top</t>
  </si>
  <si>
    <t>g/l/..(per km)   =</t>
  </si>
  <si>
    <t>km komt dus overeen</t>
  </si>
  <si>
    <t>liter      per</t>
  </si>
  <si>
    <t>Opmerking: bij de energie nodig</t>
  </si>
  <si>
    <t>voor accelereren moet de energie nodig</t>
  </si>
  <si>
    <t>voor het voortbewegen worden opgeteld</t>
  </si>
  <si>
    <t>g benzine</t>
  </si>
  <si>
    <t>Optrekken bij Rotonde</t>
  </si>
  <si>
    <r>
      <t>1. Hoe bereken je de CO</t>
    </r>
    <r>
      <rPr>
        <vertAlign val="subscript"/>
        <sz val="11"/>
        <color indexed="9"/>
        <rFont val="Calibri"/>
        <family val="2"/>
      </rPr>
      <t>2</t>
    </r>
    <r>
      <rPr>
        <sz val="11"/>
        <color indexed="9"/>
        <rFont val="Calibri"/>
        <family val="2"/>
      </rPr>
      <t>-uitstoot uit het brandstofverbruik?</t>
    </r>
  </si>
  <si>
    <r>
      <t>1 liter diesel weegt 835 gram. Diesel bestaat voor 86.2% uit koolstof, of 720 gram koolstof per liter diesel. Om deze koolstof te verbranden tot CO</t>
    </r>
    <r>
      <rPr>
        <vertAlign val="subscript"/>
        <sz val="11"/>
        <color indexed="9"/>
        <rFont val="Calibri"/>
        <family val="2"/>
      </rPr>
      <t>2</t>
    </r>
    <r>
      <rPr>
        <sz val="11"/>
        <color indexed="9"/>
        <rFont val="Calibri"/>
        <family val="2"/>
      </rPr>
      <t xml:space="preserve"> is 1920 gram zuurstof nodig. De som is dus 720 + 1920 = 2640 gram CO</t>
    </r>
    <r>
      <rPr>
        <vertAlign val="subscript"/>
        <sz val="11"/>
        <color indexed="9"/>
        <rFont val="Calibri"/>
        <family val="2"/>
      </rPr>
      <t>2</t>
    </r>
    <r>
      <rPr>
        <sz val="11"/>
        <color indexed="9"/>
        <rFont val="Calibri"/>
        <family val="2"/>
      </rPr>
      <t>/liter diesel.</t>
    </r>
  </si>
  <si>
    <r>
      <t>Een verbruik van 5 liter/100 km komt dus overeen met 5 L x 2640 g/L / 100 (per km) = 132 g CO</t>
    </r>
    <r>
      <rPr>
        <vertAlign val="subscript"/>
        <sz val="11"/>
        <color indexed="9"/>
        <rFont val="Calibri"/>
        <family val="2"/>
      </rPr>
      <t>2</t>
    </r>
    <r>
      <rPr>
        <sz val="11"/>
        <color indexed="9"/>
        <rFont val="Calibri"/>
        <family val="2"/>
      </rPr>
      <t>/km.</t>
    </r>
  </si>
  <si>
    <r>
      <t>1 liter benzine weegt 750 gram. Benzine bestaat voor 87% uit koolstof, of 652 gram koolstof per liter benzine. Om deze koolstof te verbranden tot CO</t>
    </r>
    <r>
      <rPr>
        <vertAlign val="subscript"/>
        <sz val="11"/>
        <color indexed="9"/>
        <rFont val="Calibri"/>
        <family val="2"/>
      </rPr>
      <t>2</t>
    </r>
    <r>
      <rPr>
        <sz val="11"/>
        <color indexed="9"/>
        <rFont val="Calibri"/>
        <family val="2"/>
      </rPr>
      <t xml:space="preserve"> is 1740 gram zuurstof nodig. De som is dus 652 + 1740 = 2392 gram CO</t>
    </r>
    <r>
      <rPr>
        <vertAlign val="subscript"/>
        <sz val="11"/>
        <color indexed="9"/>
        <rFont val="Calibri"/>
        <family val="2"/>
      </rPr>
      <t>2</t>
    </r>
    <r>
      <rPr>
        <sz val="11"/>
        <color indexed="9"/>
        <rFont val="Calibri"/>
        <family val="2"/>
      </rPr>
      <t>/liter benzine.</t>
    </r>
  </si>
  <si>
    <r>
      <t>Een verbruik van 5 liter/100 km komt dus overeen met 5 L x 2392 g/L / 100 (per km) = 120 g CO</t>
    </r>
    <r>
      <rPr>
        <vertAlign val="subscript"/>
        <sz val="11"/>
        <color indexed="9"/>
        <rFont val="Calibri"/>
        <family val="2"/>
      </rPr>
      <t>2</t>
    </r>
    <r>
      <rPr>
        <sz val="11"/>
        <color indexed="9"/>
        <rFont val="Calibri"/>
        <family val="2"/>
      </rPr>
      <t>/km.</t>
    </r>
  </si>
  <si>
    <r>
      <t>1 liter LPG weegt 550 gram. LPG bestaat voor 82.5% uit koolstof, of 454 gram koolstof per liter LPG. Om deze koolstof te verbranden tot CO</t>
    </r>
    <r>
      <rPr>
        <vertAlign val="subscript"/>
        <sz val="11"/>
        <color indexed="9"/>
        <rFont val="Calibri"/>
        <family val="2"/>
      </rPr>
      <t>2</t>
    </r>
    <r>
      <rPr>
        <sz val="11"/>
        <color indexed="9"/>
        <rFont val="Calibri"/>
        <family val="2"/>
      </rPr>
      <t xml:space="preserve"> is 1211 gram zuurstof nodig. De som is dus 454 + 1211 = 1665 gram CO</t>
    </r>
    <r>
      <rPr>
        <vertAlign val="subscript"/>
        <sz val="11"/>
        <color indexed="9"/>
        <rFont val="Calibri"/>
        <family val="2"/>
      </rPr>
      <t>2</t>
    </r>
    <r>
      <rPr>
        <sz val="11"/>
        <color indexed="9"/>
        <rFont val="Calibri"/>
        <family val="2"/>
      </rPr>
      <t>/liter LPG.</t>
    </r>
  </si>
  <si>
    <r>
      <t>Een verbruik van 5 liter / 100 km komt dus overeen met 5 L x 1665 g/L / 100 (per km) = 83 g CO</t>
    </r>
    <r>
      <rPr>
        <vertAlign val="subscript"/>
        <sz val="11"/>
        <color indexed="9"/>
        <rFont val="Calibri"/>
        <family val="2"/>
      </rPr>
      <t>2</t>
    </r>
    <r>
      <rPr>
        <sz val="11"/>
        <color indexed="9"/>
        <rFont val="Calibri"/>
        <family val="2"/>
      </rPr>
      <t>/km.</t>
    </r>
  </si>
  <si>
    <r>
      <t>CNG is een gasvormige brandstof (aardgas) die onder hoge druk opgeslagen wordt. Het verbruik wordt dus uitgedrukt in m</t>
    </r>
    <r>
      <rPr>
        <vertAlign val="superscript"/>
        <sz val="11"/>
        <color indexed="9"/>
        <rFont val="Calibri"/>
        <family val="2"/>
      </rPr>
      <t>3</t>
    </r>
    <r>
      <rPr>
        <sz val="11"/>
        <color indexed="9"/>
        <rFont val="Calibri"/>
        <family val="2"/>
      </rPr>
      <t>/100km. Nm</t>
    </r>
    <r>
      <rPr>
        <vertAlign val="superscript"/>
        <sz val="11"/>
        <color indexed="9"/>
        <rFont val="Calibri"/>
        <family val="2"/>
      </rPr>
      <t>3</t>
    </r>
    <r>
      <rPr>
        <sz val="11"/>
        <color indexed="9"/>
        <rFont val="Calibri"/>
        <family val="2"/>
      </rPr>
      <t xml:space="preserve"> staat voor een kubieke meter onder normale omstandigheden (1 atm en 0°C).</t>
    </r>
  </si>
  <si>
    <r>
      <t>1 Nm</t>
    </r>
    <r>
      <rPr>
        <vertAlign val="superscript"/>
        <sz val="11"/>
        <color indexed="9"/>
        <rFont val="Calibri"/>
        <family val="2"/>
      </rPr>
      <t>3</t>
    </r>
    <r>
      <rPr>
        <sz val="11"/>
        <color indexed="9"/>
        <rFont val="Calibri"/>
        <family val="2"/>
      </rPr>
      <t xml:space="preserve"> CNG weegt 717 gram. CNG bestaat voor 69.2% uit koolstof, of 496 gram koolstof per Nm</t>
    </r>
    <r>
      <rPr>
        <vertAlign val="superscript"/>
        <sz val="11"/>
        <color indexed="9"/>
        <rFont val="Calibri"/>
        <family val="2"/>
      </rPr>
      <t>3</t>
    </r>
    <r>
      <rPr>
        <sz val="11"/>
        <color indexed="9"/>
        <rFont val="Calibri"/>
        <family val="2"/>
      </rPr>
      <t xml:space="preserve"> CNG. Om deze koolstof te verbranden tot CO</t>
    </r>
    <r>
      <rPr>
        <vertAlign val="subscript"/>
        <sz val="11"/>
        <color indexed="9"/>
        <rFont val="Calibri"/>
        <family val="2"/>
      </rPr>
      <t>2</t>
    </r>
    <r>
      <rPr>
        <sz val="11"/>
        <color indexed="9"/>
        <rFont val="Calibri"/>
        <family val="2"/>
      </rPr>
      <t xml:space="preserve"> is 1323 gram zuurstof nodig. De som is dus 496 + 1323 = 1819 gram CO</t>
    </r>
    <r>
      <rPr>
        <vertAlign val="subscript"/>
        <sz val="11"/>
        <color indexed="9"/>
        <rFont val="Calibri"/>
        <family val="2"/>
      </rPr>
      <t>2</t>
    </r>
    <r>
      <rPr>
        <sz val="11"/>
        <color indexed="9"/>
        <rFont val="Calibri"/>
        <family val="2"/>
      </rPr>
      <t>/Nm</t>
    </r>
    <r>
      <rPr>
        <vertAlign val="superscript"/>
        <sz val="11"/>
        <color indexed="9"/>
        <rFont val="Calibri"/>
        <family val="2"/>
      </rPr>
      <t>3</t>
    </r>
    <r>
      <rPr>
        <sz val="11"/>
        <color indexed="9"/>
        <rFont val="Calibri"/>
        <family val="2"/>
      </rPr>
      <t xml:space="preserve"> CNG.</t>
    </r>
  </si>
  <si>
    <r>
      <t>Een verbruik van 5 Nm</t>
    </r>
    <r>
      <rPr>
        <vertAlign val="superscript"/>
        <sz val="11"/>
        <color indexed="9"/>
        <rFont val="Calibri"/>
        <family val="2"/>
      </rPr>
      <t>3</t>
    </r>
    <r>
      <rPr>
        <sz val="11"/>
        <color indexed="9"/>
        <rFont val="Calibri"/>
        <family val="2"/>
      </rPr>
      <t xml:space="preserve"> / 100 km komt dus overeen met 5 Nm</t>
    </r>
    <r>
      <rPr>
        <vertAlign val="superscript"/>
        <sz val="11"/>
        <color indexed="9"/>
        <rFont val="Calibri"/>
        <family val="2"/>
      </rPr>
      <t>3</t>
    </r>
    <r>
      <rPr>
        <sz val="11"/>
        <color indexed="9"/>
        <rFont val="Calibri"/>
        <family val="2"/>
      </rPr>
      <t xml:space="preserve"> x 1819 g/Nm</t>
    </r>
    <r>
      <rPr>
        <vertAlign val="superscript"/>
        <sz val="11"/>
        <color indexed="9"/>
        <rFont val="Calibri"/>
        <family val="2"/>
      </rPr>
      <t>3</t>
    </r>
    <r>
      <rPr>
        <sz val="11"/>
        <color indexed="9"/>
        <rFont val="Calibri"/>
        <family val="2"/>
      </rPr>
      <t xml:space="preserve"> / 100 (per km) = 91 g CO</t>
    </r>
    <r>
      <rPr>
        <vertAlign val="subscript"/>
        <sz val="11"/>
        <color indexed="9"/>
        <rFont val="Calibri"/>
        <family val="2"/>
      </rPr>
      <t>2</t>
    </r>
    <r>
      <rPr>
        <sz val="11"/>
        <color indexed="9"/>
        <rFont val="Calibri"/>
        <family val="2"/>
      </rPr>
      <t>/km.</t>
    </r>
  </si>
  <si>
    <t>In de ZWARTE vlakken zijn de waardes te veranderen</t>
  </si>
  <si>
    <r>
      <t>Formule bewerking: Door</t>
    </r>
    <r>
      <rPr>
        <b/>
        <u val="single"/>
        <sz val="14"/>
        <color indexed="9"/>
        <rFont val="Calibri"/>
        <family val="2"/>
      </rPr>
      <t xml:space="preserve"> </t>
    </r>
    <r>
      <rPr>
        <u val="single"/>
        <sz val="14"/>
        <color indexed="9"/>
        <rFont val="Black Chancery"/>
        <family val="0"/>
      </rPr>
      <t>Rob Brouwer</t>
    </r>
  </si>
  <si>
    <t>Ongestoord doorrijden constante snelheid</t>
  </si>
  <si>
    <t>g Co2</t>
  </si>
  <si>
    <t>Benzine Prijs</t>
  </si>
  <si>
    <t>P/Ltr</t>
  </si>
  <si>
    <r>
      <t>2 (</t>
    </r>
    <r>
      <rPr>
        <sz val="11"/>
        <color indexed="9"/>
        <rFont val="Calibri"/>
        <family val="2"/>
      </rPr>
      <t>0,5*1500*(80/3.6)2/(0,3*43000)=29g</t>
    </r>
  </si>
  <si>
    <t>Liter</t>
  </si>
  <si>
    <t>Aanal Bewegingen</t>
  </si>
  <si>
    <t>P/Etmaal</t>
  </si>
  <si>
    <t>Aantal bewegingen</t>
  </si>
  <si>
    <t>Rotonde / Jaar</t>
  </si>
  <si>
    <t xml:space="preserve">Meer Kosten </t>
  </si>
  <si>
    <t>Aantal Rotondes</t>
  </si>
  <si>
    <t xml:space="preserve">Aantal  </t>
  </si>
  <si>
    <r>
      <rPr>
        <sz val="11"/>
        <color theme="1"/>
        <rFont val="Calibri"/>
        <family val="2"/>
      </rPr>
      <t xml:space="preserve">Per beweging   </t>
    </r>
    <r>
      <rPr>
        <b/>
        <sz val="11"/>
        <color indexed="8"/>
        <rFont val="Calibri"/>
        <family val="2"/>
      </rPr>
      <t xml:space="preserve">  Meer verbruik   in Liters</t>
    </r>
  </si>
  <si>
    <r>
      <rPr>
        <b/>
        <sz val="11"/>
        <color indexed="8"/>
        <rFont val="Calibri"/>
        <family val="2"/>
      </rPr>
      <t xml:space="preserve"> Meer verbruik   in Liters  </t>
    </r>
    <r>
      <rPr>
        <sz val="11"/>
        <color theme="1"/>
        <rFont val="Calibri"/>
        <family val="2"/>
      </rPr>
      <t>X  bewegingen/jaar</t>
    </r>
  </si>
  <si>
    <t>%  dat nu hinder heeft van kruising</t>
  </si>
  <si>
    <t>Meer kosten rotondes per jaar min %  nu hinder kruising</t>
  </si>
  <si>
    <t>Rotondes /Beweging</t>
  </si>
  <si>
    <r>
      <rPr>
        <sz val="11"/>
        <color theme="1"/>
        <rFont val="Calibri"/>
        <family val="2"/>
      </rPr>
      <t>Per beweging</t>
    </r>
    <r>
      <rPr>
        <b/>
        <sz val="11"/>
        <color indexed="8"/>
        <rFont val="Calibri"/>
        <family val="2"/>
      </rPr>
      <t xml:space="preserve"> Meer verbruik Optrekken bij Kruising</t>
    </r>
  </si>
  <si>
    <r>
      <rPr>
        <sz val="11"/>
        <color theme="1"/>
        <rFont val="Calibri"/>
        <family val="2"/>
      </rPr>
      <t>Per beweging</t>
    </r>
    <r>
      <rPr>
        <b/>
        <sz val="11"/>
        <color indexed="8"/>
        <rFont val="Calibri"/>
        <family val="2"/>
      </rPr>
      <t xml:space="preserve"> Meer verbruik bij Optrekken Rotonde</t>
    </r>
  </si>
  <si>
    <t xml:space="preserve">Is Gelijk aan  …. kilo Co2 </t>
  </si>
  <si>
    <t>Kg Co2</t>
  </si>
  <si>
    <t>Hiervoor moet er p/25kg 1 boom worden geplant</t>
  </si>
  <si>
    <t>Bomen/Jaar</t>
  </si>
</sst>
</file>

<file path=xl/styles.xml><?xml version="1.0" encoding="utf-8"?>
<styleSheet xmlns="http://schemas.openxmlformats.org/spreadsheetml/2006/main">
  <numFmts count="1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Ja&quot;;&quot;Ja&quot;;&quot;Nee&quot;"/>
    <numFmt numFmtId="165" formatCode="&quot;Waar&quot;;&quot;Waar&quot;;&quot;Niet waar&quot;"/>
    <numFmt numFmtId="166" formatCode="&quot;Aan&quot;;&quot;Aan&quot;;&quot;Uit&quot;"/>
    <numFmt numFmtId="167" formatCode="[$€-2]\ #.##000_);[Red]\([$€-2]\ #.##000\)"/>
    <numFmt numFmtId="168" formatCode="&quot;€&quot;\ #,##0.00_-"/>
    <numFmt numFmtId="169" formatCode="00.00.00.000"/>
    <numFmt numFmtId="170" formatCode="0.000"/>
    <numFmt numFmtId="171" formatCode="0#########"/>
    <numFmt numFmtId="172" formatCode="0#\-#######"/>
    <numFmt numFmtId="173" formatCode="[$-413]dddd\ d\ mmmm\ yy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bscript"/>
      <sz val="11"/>
      <color indexed="9"/>
      <name val="Calibri"/>
      <family val="2"/>
    </font>
    <font>
      <sz val="11"/>
      <color indexed="9"/>
      <name val="Calibri"/>
      <family val="2"/>
    </font>
    <font>
      <vertAlign val="superscript"/>
      <sz val="11"/>
      <color indexed="9"/>
      <name val="Calibri"/>
      <family val="2"/>
    </font>
    <font>
      <b/>
      <u val="single"/>
      <sz val="14"/>
      <color indexed="9"/>
      <name val="Calibri"/>
      <family val="2"/>
    </font>
    <font>
      <u val="single"/>
      <sz val="14"/>
      <color indexed="9"/>
      <name val="Black Chancery"/>
      <family val="0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i/>
      <u val="single"/>
      <sz val="11"/>
      <color indexed="10"/>
      <name val="Calibri"/>
      <family val="2"/>
    </font>
    <font>
      <sz val="9"/>
      <color indexed="63"/>
      <name val="ExcelsiorTel"/>
      <family val="0"/>
    </font>
    <font>
      <b/>
      <u val="single"/>
      <sz val="11"/>
      <color indexed="9"/>
      <name val="Calibri"/>
      <family val="2"/>
    </font>
    <font>
      <b/>
      <sz val="11"/>
      <name val="Calibri"/>
      <family val="2"/>
    </font>
    <font>
      <u val="single"/>
      <sz val="11"/>
      <color indexed="9"/>
      <name val="Calibri"/>
      <family val="2"/>
    </font>
    <font>
      <sz val="11"/>
      <name val="Calibri"/>
      <family val="2"/>
    </font>
    <font>
      <b/>
      <sz val="14"/>
      <color indexed="9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b/>
      <i/>
      <u val="single"/>
      <sz val="11"/>
      <color rgb="FFFF0000"/>
      <name val="Calibri"/>
      <family val="2"/>
    </font>
    <font>
      <sz val="9"/>
      <color rgb="FF231F20"/>
      <name val="ExcelsiorTel"/>
      <family val="0"/>
    </font>
    <font>
      <b/>
      <u val="single"/>
      <sz val="11"/>
      <color theme="0"/>
      <name val="Calibri"/>
      <family val="2"/>
    </font>
    <font>
      <u val="single"/>
      <sz val="11"/>
      <color theme="0"/>
      <name val="Calibri"/>
      <family val="2"/>
    </font>
    <font>
      <b/>
      <sz val="14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rgb="FFFFC0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double"/>
    </border>
    <border>
      <left/>
      <right style="double"/>
      <top style="double"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double"/>
      <right style="medium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theme="0"/>
      </top>
      <bottom style="thin">
        <color theme="0"/>
      </bottom>
    </border>
    <border>
      <left style="thin"/>
      <right/>
      <top style="thin"/>
      <bottom style="thin">
        <color theme="0"/>
      </bottom>
    </border>
    <border>
      <left/>
      <right style="thin">
        <color theme="0"/>
      </right>
      <top style="thin"/>
      <bottom style="thin"/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 style="double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8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8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8" fillId="0" borderId="15" xfId="0" applyFont="1" applyBorder="1" applyAlignment="1">
      <alignment/>
    </xf>
    <xf numFmtId="0" fontId="0" fillId="0" borderId="0" xfId="0" applyAlignment="1" applyProtection="1">
      <alignment/>
      <protection hidden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Alignment="1">
      <alignment/>
    </xf>
    <xf numFmtId="0" fontId="0" fillId="5" borderId="0" xfId="0" applyFill="1" applyAlignment="1">
      <alignment/>
    </xf>
    <xf numFmtId="0" fontId="0" fillId="0" borderId="19" xfId="0" applyBorder="1" applyAlignment="1" applyProtection="1">
      <alignment/>
      <protection hidden="1"/>
    </xf>
    <xf numFmtId="0" fontId="0" fillId="5" borderId="20" xfId="0" applyFill="1" applyBorder="1" applyAlignment="1">
      <alignment/>
    </xf>
    <xf numFmtId="0" fontId="0" fillId="5" borderId="21" xfId="0" applyFill="1" applyBorder="1" applyAlignment="1">
      <alignment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5" borderId="19" xfId="0" applyFill="1" applyBorder="1" applyAlignment="1">
      <alignment/>
    </xf>
    <xf numFmtId="0" fontId="0" fillId="5" borderId="23" xfId="0" applyFill="1" applyBorder="1" applyAlignment="1">
      <alignment/>
    </xf>
    <xf numFmtId="0" fontId="52" fillId="0" borderId="24" xfId="0" applyFont="1" applyBorder="1" applyAlignment="1">
      <alignment/>
    </xf>
    <xf numFmtId="0" fontId="52" fillId="0" borderId="25" xfId="0" applyFont="1" applyBorder="1" applyAlignment="1">
      <alignment/>
    </xf>
    <xf numFmtId="0" fontId="52" fillId="0" borderId="26" xfId="0" applyFont="1" applyBorder="1" applyAlignment="1">
      <alignment/>
    </xf>
    <xf numFmtId="0" fontId="0" fillId="0" borderId="21" xfId="0" applyBorder="1" applyAlignment="1">
      <alignment/>
    </xf>
    <xf numFmtId="0" fontId="0" fillId="0" borderId="27" xfId="0" applyBorder="1" applyAlignment="1">
      <alignment/>
    </xf>
    <xf numFmtId="0" fontId="48" fillId="33" borderId="10" xfId="0" applyFont="1" applyFill="1" applyBorder="1" applyAlignment="1" applyProtection="1">
      <alignment/>
      <protection/>
    </xf>
    <xf numFmtId="0" fontId="53" fillId="0" borderId="0" xfId="0" applyFont="1" applyAlignment="1">
      <alignment/>
    </xf>
    <xf numFmtId="0" fontId="0" fillId="0" borderId="0" xfId="0" applyBorder="1" applyAlignment="1">
      <alignment/>
    </xf>
    <xf numFmtId="0" fontId="54" fillId="0" borderId="28" xfId="0" applyFont="1" applyBorder="1" applyAlignment="1">
      <alignment/>
    </xf>
    <xf numFmtId="0" fontId="0" fillId="0" borderId="29" xfId="0" applyBorder="1" applyAlignment="1" applyProtection="1">
      <alignment/>
      <protection hidden="1"/>
    </xf>
    <xf numFmtId="0" fontId="0" fillId="0" borderId="30" xfId="0" applyBorder="1" applyAlignment="1" applyProtection="1">
      <alignment/>
      <protection hidden="1"/>
    </xf>
    <xf numFmtId="0" fontId="54" fillId="0" borderId="31" xfId="0" applyFont="1" applyBorder="1" applyAlignment="1">
      <alignment/>
    </xf>
    <xf numFmtId="0" fontId="0" fillId="0" borderId="32" xfId="0" applyBorder="1" applyAlignment="1">
      <alignment/>
    </xf>
    <xf numFmtId="0" fontId="54" fillId="0" borderId="33" xfId="0" applyFont="1" applyBorder="1" applyAlignment="1">
      <alignment/>
    </xf>
    <xf numFmtId="0" fontId="0" fillId="0" borderId="34" xfId="0" applyBorder="1" applyAlignment="1">
      <alignment/>
    </xf>
    <xf numFmtId="0" fontId="48" fillId="0" borderId="33" xfId="0" applyFont="1" applyBorder="1" applyAlignment="1">
      <alignment/>
    </xf>
    <xf numFmtId="0" fontId="36" fillId="34" borderId="10" xfId="0" applyFont="1" applyFill="1" applyBorder="1" applyAlignment="1" applyProtection="1">
      <alignment/>
      <protection locked="0"/>
    </xf>
    <xf numFmtId="0" fontId="36" fillId="34" borderId="35" xfId="0" applyFont="1" applyFill="1" applyBorder="1" applyAlignment="1" applyProtection="1">
      <alignment/>
      <protection locked="0"/>
    </xf>
    <xf numFmtId="0" fontId="55" fillId="35" borderId="0" xfId="44" applyFont="1" applyFill="1" applyAlignment="1" applyProtection="1">
      <alignment/>
      <protection/>
    </xf>
    <xf numFmtId="0" fontId="36" fillId="35" borderId="0" xfId="0" applyFont="1" applyFill="1" applyAlignment="1">
      <alignment/>
    </xf>
    <xf numFmtId="0" fontId="34" fillId="36" borderId="16" xfId="0" applyFont="1" applyFill="1" applyBorder="1" applyAlignment="1">
      <alignment/>
    </xf>
    <xf numFmtId="0" fontId="0" fillId="36" borderId="17" xfId="0" applyFill="1" applyBorder="1" applyAlignment="1">
      <alignment/>
    </xf>
    <xf numFmtId="0" fontId="0" fillId="36" borderId="18" xfId="0" applyFill="1" applyBorder="1" applyAlignment="1">
      <alignment/>
    </xf>
    <xf numFmtId="0" fontId="48" fillId="0" borderId="10" xfId="0" applyFont="1" applyBorder="1" applyAlignment="1">
      <alignment horizontal="right"/>
    </xf>
    <xf numFmtId="0" fontId="48" fillId="0" borderId="35" xfId="0" applyFont="1" applyBorder="1" applyAlignment="1">
      <alignment horizontal="right"/>
    </xf>
    <xf numFmtId="0" fontId="48" fillId="0" borderId="15" xfId="0" applyFont="1" applyBorder="1" applyAlignment="1">
      <alignment horizontal="right"/>
    </xf>
    <xf numFmtId="0" fontId="48" fillId="0" borderId="11" xfId="0" applyFont="1" applyBorder="1" applyAlignment="1">
      <alignment/>
    </xf>
    <xf numFmtId="0" fontId="48" fillId="0" borderId="12" xfId="0" applyFont="1" applyBorder="1" applyAlignment="1">
      <alignment/>
    </xf>
    <xf numFmtId="0" fontId="48" fillId="0" borderId="15" xfId="0" applyFont="1" applyFill="1" applyBorder="1" applyAlignment="1">
      <alignment horizontal="right"/>
    </xf>
    <xf numFmtId="0" fontId="48" fillId="0" borderId="14" xfId="0" applyFont="1" applyBorder="1" applyAlignment="1">
      <alignment/>
    </xf>
    <xf numFmtId="0" fontId="48" fillId="0" borderId="30" xfId="0" applyFont="1" applyBorder="1" applyAlignment="1">
      <alignment/>
    </xf>
    <xf numFmtId="0" fontId="48" fillId="0" borderId="15" xfId="0" applyFont="1" applyFill="1" applyBorder="1" applyAlignment="1">
      <alignment/>
    </xf>
    <xf numFmtId="0" fontId="48" fillId="0" borderId="11" xfId="0" applyFont="1" applyBorder="1" applyAlignment="1">
      <alignment horizontal="center"/>
    </xf>
    <xf numFmtId="0" fontId="28" fillId="33" borderId="11" xfId="0" applyFont="1" applyFill="1" applyBorder="1" applyAlignment="1" applyProtection="1">
      <alignment horizontal="center"/>
      <protection/>
    </xf>
    <xf numFmtId="0" fontId="48" fillId="0" borderId="11" xfId="0" applyFont="1" applyBorder="1" applyAlignment="1">
      <alignment horizontal="left"/>
    </xf>
    <xf numFmtId="2" fontId="48" fillId="37" borderId="15" xfId="0" applyNumberFormat="1" applyFont="1" applyFill="1" applyBorder="1" applyAlignment="1">
      <alignment/>
    </xf>
    <xf numFmtId="0" fontId="28" fillId="37" borderId="11" xfId="0" applyFont="1" applyFill="1" applyBorder="1" applyAlignment="1">
      <alignment/>
    </xf>
    <xf numFmtId="0" fontId="28" fillId="37" borderId="12" xfId="0" applyFont="1" applyFill="1" applyBorder="1" applyAlignment="1">
      <alignment/>
    </xf>
    <xf numFmtId="0" fontId="28" fillId="37" borderId="15" xfId="0" applyFont="1" applyFill="1" applyBorder="1" applyAlignment="1">
      <alignment/>
    </xf>
    <xf numFmtId="0" fontId="48" fillId="37" borderId="12" xfId="0" applyFont="1" applyFill="1" applyBorder="1" applyAlignment="1">
      <alignment horizontal="left"/>
    </xf>
    <xf numFmtId="0" fontId="48" fillId="37" borderId="12" xfId="0" applyFont="1" applyFill="1" applyBorder="1" applyAlignment="1">
      <alignment/>
    </xf>
    <xf numFmtId="1" fontId="48" fillId="37" borderId="10" xfId="0" applyNumberFormat="1" applyFont="1" applyFill="1" applyBorder="1" applyAlignment="1">
      <alignment horizontal="center" vertical="center"/>
    </xf>
    <xf numFmtId="0" fontId="34" fillId="0" borderId="35" xfId="0" applyFont="1" applyBorder="1" applyAlignment="1">
      <alignment/>
    </xf>
    <xf numFmtId="0" fontId="34" fillId="0" borderId="0" xfId="0" applyFont="1" applyAlignment="1">
      <alignment/>
    </xf>
    <xf numFmtId="0" fontId="34" fillId="0" borderId="36" xfId="0" applyFont="1" applyBorder="1" applyAlignment="1">
      <alignment/>
    </xf>
    <xf numFmtId="0" fontId="36" fillId="0" borderId="36" xfId="0" applyFont="1" applyBorder="1" applyAlignment="1">
      <alignment/>
    </xf>
    <xf numFmtId="0" fontId="56" fillId="0" borderId="13" xfId="44" applyFont="1" applyBorder="1" applyAlignment="1" applyProtection="1">
      <alignment/>
      <protection/>
    </xf>
    <xf numFmtId="0" fontId="30" fillId="0" borderId="19" xfId="0" applyFont="1" applyFill="1" applyBorder="1" applyAlignment="1">
      <alignment/>
    </xf>
    <xf numFmtId="0" fontId="34" fillId="0" borderId="0" xfId="0" applyFont="1" applyFill="1" applyAlignment="1">
      <alignment/>
    </xf>
    <xf numFmtId="0" fontId="34" fillId="0" borderId="0" xfId="0" applyFont="1" applyFill="1" applyAlignment="1" applyProtection="1">
      <alignment/>
      <protection hidden="1"/>
    </xf>
    <xf numFmtId="4" fontId="34" fillId="0" borderId="0" xfId="0" applyNumberFormat="1" applyFont="1" applyFill="1" applyAlignment="1" applyProtection="1">
      <alignment/>
      <protection hidden="1"/>
    </xf>
    <xf numFmtId="2" fontId="34" fillId="0" borderId="0" xfId="0" applyNumberFormat="1" applyFont="1" applyFill="1" applyAlignment="1" applyProtection="1">
      <alignment/>
      <protection hidden="1"/>
    </xf>
    <xf numFmtId="0" fontId="34" fillId="0" borderId="0" xfId="0" applyFont="1" applyFill="1" applyBorder="1" applyAlignment="1" applyProtection="1">
      <alignment/>
      <protection hidden="1"/>
    </xf>
    <xf numFmtId="0" fontId="57" fillId="34" borderId="0" xfId="0" applyFont="1" applyFill="1" applyAlignment="1">
      <alignment/>
    </xf>
    <xf numFmtId="0" fontId="34" fillId="34" borderId="0" xfId="0" applyFont="1" applyFill="1" applyAlignment="1">
      <alignment/>
    </xf>
    <xf numFmtId="0" fontId="0" fillId="0" borderId="0" xfId="0" applyAlignment="1" applyProtection="1">
      <alignment/>
      <protection/>
    </xf>
    <xf numFmtId="0" fontId="48" fillId="0" borderId="11" xfId="0" applyFont="1" applyFill="1" applyBorder="1" applyAlignment="1">
      <alignment/>
    </xf>
    <xf numFmtId="0" fontId="30" fillId="0" borderId="0" xfId="0" applyFont="1" applyAlignment="1">
      <alignment/>
    </xf>
    <xf numFmtId="0" fontId="48" fillId="0" borderId="28" xfId="0" applyFont="1" applyBorder="1" applyAlignment="1">
      <alignment/>
    </xf>
    <xf numFmtId="0" fontId="0" fillId="0" borderId="29" xfId="0" applyBorder="1" applyAlignment="1">
      <alignment/>
    </xf>
    <xf numFmtId="0" fontId="48" fillId="0" borderId="29" xfId="0" applyFont="1" applyBorder="1" applyAlignment="1">
      <alignment/>
    </xf>
    <xf numFmtId="0" fontId="48" fillId="37" borderId="30" xfId="0" applyFont="1" applyFill="1" applyBorder="1" applyAlignment="1">
      <alignment/>
    </xf>
    <xf numFmtId="0" fontId="36" fillId="34" borderId="15" xfId="0" applyFont="1" applyFill="1" applyBorder="1" applyAlignment="1" applyProtection="1">
      <alignment/>
      <protection locked="0"/>
    </xf>
    <xf numFmtId="0" fontId="0" fillId="0" borderId="30" xfId="0" applyBorder="1" applyAlignment="1">
      <alignment/>
    </xf>
    <xf numFmtId="0" fontId="48" fillId="0" borderId="29" xfId="0" applyFont="1" applyFill="1" applyBorder="1" applyAlignment="1">
      <alignment/>
    </xf>
    <xf numFmtId="168" fontId="36" fillId="34" borderId="37" xfId="0" applyNumberFormat="1" applyFont="1" applyFill="1" applyBorder="1" applyAlignment="1" applyProtection="1">
      <alignment horizontal="center"/>
      <protection locked="0"/>
    </xf>
    <xf numFmtId="0" fontId="36" fillId="34" borderId="38" xfId="0" applyFont="1" applyFill="1" applyBorder="1" applyAlignment="1" applyProtection="1">
      <alignment horizontal="center"/>
      <protection locked="0"/>
    </xf>
    <xf numFmtId="0" fontId="48" fillId="0" borderId="0" xfId="0" applyFont="1" applyAlignment="1">
      <alignment horizontal="center"/>
    </xf>
    <xf numFmtId="0" fontId="36" fillId="34" borderId="34" xfId="0" applyNumberFormat="1" applyFont="1" applyFill="1" applyBorder="1" applyAlignment="1" applyProtection="1">
      <alignment horizontal="center"/>
      <protection locked="0"/>
    </xf>
    <xf numFmtId="0" fontId="36" fillId="34" borderId="37" xfId="0" applyNumberFormat="1" applyFont="1" applyFill="1" applyBorder="1" applyAlignment="1" applyProtection="1">
      <alignment horizontal="center"/>
      <protection locked="0"/>
    </xf>
    <xf numFmtId="0" fontId="0" fillId="0" borderId="39" xfId="0" applyBorder="1" applyAlignment="1">
      <alignment/>
    </xf>
    <xf numFmtId="0" fontId="28" fillId="0" borderId="11" xfId="0" applyFont="1" applyFill="1" applyBorder="1" applyAlignment="1" applyProtection="1">
      <alignment horizontal="left"/>
      <protection/>
    </xf>
    <xf numFmtId="170" fontId="48" fillId="37" borderId="28" xfId="0" applyNumberFormat="1" applyFont="1" applyFill="1" applyBorder="1" applyAlignment="1">
      <alignment/>
    </xf>
    <xf numFmtId="168" fontId="48" fillId="37" borderId="28" xfId="0" applyNumberFormat="1" applyFont="1" applyFill="1" applyBorder="1" applyAlignment="1">
      <alignment/>
    </xf>
    <xf numFmtId="0" fontId="36" fillId="34" borderId="40" xfId="0" applyNumberFormat="1" applyFont="1" applyFill="1" applyBorder="1" applyAlignment="1" applyProtection="1">
      <alignment horizontal="center"/>
      <protection locked="0"/>
    </xf>
    <xf numFmtId="168" fontId="48" fillId="37" borderId="15" xfId="0" applyNumberFormat="1" applyFont="1" applyFill="1" applyBorder="1" applyAlignment="1">
      <alignment horizontal="right"/>
    </xf>
    <xf numFmtId="3" fontId="48" fillId="37" borderId="15" xfId="0" applyNumberFormat="1" applyFont="1" applyFill="1" applyBorder="1" applyAlignment="1">
      <alignment/>
    </xf>
    <xf numFmtId="0" fontId="0" fillId="5" borderId="41" xfId="0" applyFill="1" applyBorder="1" applyAlignment="1">
      <alignment/>
    </xf>
    <xf numFmtId="4" fontId="48" fillId="37" borderId="0" xfId="0" applyNumberFormat="1" applyFont="1" applyFill="1" applyAlignment="1">
      <alignment/>
    </xf>
    <xf numFmtId="0" fontId="0" fillId="5" borderId="0" xfId="0" applyFill="1" applyBorder="1" applyAlignment="1">
      <alignment/>
    </xf>
    <xf numFmtId="4" fontId="48" fillId="37" borderId="15" xfId="0" applyNumberFormat="1" applyFont="1" applyFill="1" applyBorder="1" applyAlignment="1">
      <alignment/>
    </xf>
    <xf numFmtId="0" fontId="0" fillId="0" borderId="15" xfId="0" applyBorder="1" applyAlignment="1">
      <alignment/>
    </xf>
    <xf numFmtId="4" fontId="48" fillId="37" borderId="28" xfId="0" applyNumberFormat="1" applyFont="1" applyFill="1" applyBorder="1" applyAlignment="1">
      <alignment/>
    </xf>
    <xf numFmtId="0" fontId="48" fillId="0" borderId="28" xfId="0" applyFont="1" applyBorder="1" applyAlignment="1">
      <alignment horizontal="right"/>
    </xf>
    <xf numFmtId="0" fontId="48" fillId="0" borderId="12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400050</xdr:colOff>
      <xdr:row>13</xdr:row>
      <xdr:rowOff>142875</xdr:rowOff>
    </xdr:from>
    <xdr:to>
      <xdr:col>17</xdr:col>
      <xdr:colOff>409575</xdr:colOff>
      <xdr:row>15</xdr:row>
      <xdr:rowOff>9525</xdr:rowOff>
    </xdr:to>
    <xdr:sp>
      <xdr:nvSpPr>
        <xdr:cNvPr id="1" name="Tekstvak 1"/>
        <xdr:cNvSpPr txBox="1">
          <a:spLocks noChangeArrowheads="1"/>
        </xdr:cNvSpPr>
      </xdr:nvSpPr>
      <xdr:spPr>
        <a:xfrm>
          <a:off x="8124825" y="2809875"/>
          <a:ext cx="40005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C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Traject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in meters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gebruik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per liter in meters 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gram per liter</a:t>
          </a:r>
        </a:p>
      </xdr:txBody>
    </xdr:sp>
    <xdr:clientData/>
  </xdr:twoCellAnchor>
  <xdr:twoCellAnchor>
    <xdr:from>
      <xdr:col>17</xdr:col>
      <xdr:colOff>76200</xdr:colOff>
      <xdr:row>17</xdr:row>
      <xdr:rowOff>85725</xdr:rowOff>
    </xdr:from>
    <xdr:to>
      <xdr:col>18</xdr:col>
      <xdr:colOff>0</xdr:colOff>
      <xdr:row>19</xdr:row>
      <xdr:rowOff>161925</xdr:rowOff>
    </xdr:to>
    <xdr:sp>
      <xdr:nvSpPr>
        <xdr:cNvPr id="2" name="Gebogen verbindingslijn 3"/>
        <xdr:cNvSpPr>
          <a:spLocks/>
        </xdr:cNvSpPr>
      </xdr:nvSpPr>
      <xdr:spPr>
        <a:xfrm rot="10800000">
          <a:off x="11791950" y="3533775"/>
          <a:ext cx="533400" cy="476250"/>
        </a:xfrm>
        <a:prstGeom prst="bentConnector3">
          <a:avLst>
            <a:gd name="adj" fmla="val -1787"/>
          </a:avLst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466725</xdr:colOff>
      <xdr:row>20</xdr:row>
      <xdr:rowOff>180975</xdr:rowOff>
    </xdr:from>
    <xdr:to>
      <xdr:col>19</xdr:col>
      <xdr:colOff>209550</xdr:colOff>
      <xdr:row>23</xdr:row>
      <xdr:rowOff>142875</xdr:rowOff>
    </xdr:to>
    <xdr:sp>
      <xdr:nvSpPr>
        <xdr:cNvPr id="3" name="Tekstvak 10"/>
        <xdr:cNvSpPr txBox="1">
          <a:spLocks noChangeArrowheads="1"/>
        </xdr:cNvSpPr>
      </xdr:nvSpPr>
      <xdr:spPr>
        <a:xfrm>
          <a:off x="8658225" y="4219575"/>
          <a:ext cx="4486275" cy="533400"/>
        </a:xfrm>
        <a:prstGeom prst="rect">
          <a:avLst/>
        </a:prstGeom>
        <a:solidFill>
          <a:srgbClr val="FFFFFF"/>
        </a:solidFill>
        <a:ln w="9525" cmpd="sng">
          <a:solidFill>
            <a:srgbClr val="C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{Helft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vh gewicht voertuig massa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(de snelheid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3,6 )int kwadraad  }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(30% van t aantal kj/g)</a:t>
          </a:r>
        </a:p>
      </xdr:txBody>
    </xdr:sp>
    <xdr:clientData/>
  </xdr:twoCellAnchor>
  <xdr:twoCellAnchor>
    <xdr:from>
      <xdr:col>11</xdr:col>
      <xdr:colOff>266700</xdr:colOff>
      <xdr:row>19</xdr:row>
      <xdr:rowOff>57150</xdr:rowOff>
    </xdr:from>
    <xdr:to>
      <xdr:col>11</xdr:col>
      <xdr:colOff>266700</xdr:colOff>
      <xdr:row>24</xdr:row>
      <xdr:rowOff>133350</xdr:rowOff>
    </xdr:to>
    <xdr:sp>
      <xdr:nvSpPr>
        <xdr:cNvPr id="4" name="Gebogen verbindingslijn 12"/>
        <xdr:cNvSpPr>
          <a:spLocks/>
        </xdr:cNvSpPr>
      </xdr:nvSpPr>
      <xdr:spPr>
        <a:xfrm rot="16200000" flipV="1">
          <a:off x="8458200" y="3905250"/>
          <a:ext cx="0" cy="1028700"/>
        </a:xfrm>
        <a:prstGeom prst="bentConnector3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257175</xdr:colOff>
      <xdr:row>24</xdr:row>
      <xdr:rowOff>152400</xdr:rowOff>
    </xdr:from>
    <xdr:to>
      <xdr:col>17</xdr:col>
      <xdr:colOff>428625</xdr:colOff>
      <xdr:row>28</xdr:row>
      <xdr:rowOff>142875</xdr:rowOff>
    </xdr:to>
    <xdr:sp>
      <xdr:nvSpPr>
        <xdr:cNvPr id="5" name="Tekstvak 14"/>
        <xdr:cNvSpPr txBox="1">
          <a:spLocks noChangeArrowheads="1"/>
        </xdr:cNvSpPr>
      </xdr:nvSpPr>
      <xdr:spPr>
        <a:xfrm>
          <a:off x="7305675" y="4953000"/>
          <a:ext cx="4838700" cy="752475"/>
        </a:xfrm>
        <a:prstGeom prst="rect">
          <a:avLst/>
        </a:prstGeom>
        <a:solidFill>
          <a:srgbClr val="FFFFFF"/>
        </a:solidFill>
        <a:ln w="9525" cmpd="sng">
          <a:solidFill>
            <a:srgbClr val="C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[Helft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vh gewicht voertuig massa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{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(de snelheid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helft vh gebruik in g bij constante snelheid 80)int kwadraad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 snelheid na afremmen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3,6 ) int kwadraad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}]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(30% van t aantal kj/g)</a:t>
          </a:r>
        </a:p>
      </xdr:txBody>
    </xdr:sp>
    <xdr:clientData/>
  </xdr:twoCellAnchor>
  <xdr:twoCellAnchor>
    <xdr:from>
      <xdr:col>5</xdr:col>
      <xdr:colOff>361950</xdr:colOff>
      <xdr:row>3</xdr:row>
      <xdr:rowOff>114300</xdr:rowOff>
    </xdr:from>
    <xdr:to>
      <xdr:col>5</xdr:col>
      <xdr:colOff>485775</xdr:colOff>
      <xdr:row>9</xdr:row>
      <xdr:rowOff>85725</xdr:rowOff>
    </xdr:to>
    <xdr:sp>
      <xdr:nvSpPr>
        <xdr:cNvPr id="6" name="PIJL-OMLAAG 6"/>
        <xdr:cNvSpPr>
          <a:spLocks/>
        </xdr:cNvSpPr>
      </xdr:nvSpPr>
      <xdr:spPr>
        <a:xfrm rot="2211634" flipH="1">
          <a:off x="3971925" y="742950"/>
          <a:ext cx="123825" cy="1228725"/>
        </a:xfrm>
        <a:prstGeom prst="downArrow">
          <a:avLst>
            <a:gd name="adj" fmla="val 4451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ob@texel.com" TargetMode="External" /><Relationship Id="rId2" Type="http://schemas.openxmlformats.org/officeDocument/2006/relationships/hyperlink" Target="mailto:rob@texel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56"/>
  <sheetViews>
    <sheetView showGridLines="0" showRowColHeaders="0" tabSelected="1" workbookViewId="0" topLeftCell="A10">
      <selection activeCell="E18" sqref="E18"/>
    </sheetView>
  </sheetViews>
  <sheetFormatPr defaultColWidth="9.140625" defaultRowHeight="15" outlineLevelCol="3"/>
  <cols>
    <col min="3" max="3" width="9.140625" style="0" customWidth="1" outlineLevel="3"/>
    <col min="4" max="4" width="10.421875" style="0" customWidth="1" outlineLevel="3"/>
    <col min="5" max="5" width="16.28125" style="0" customWidth="1" outlineLevel="3"/>
    <col min="6" max="6" width="16.28125" style="0" customWidth="1" outlineLevel="2"/>
    <col min="7" max="7" width="14.28125" style="0" customWidth="1"/>
    <col min="8" max="8" width="12.140625" style="0" customWidth="1" outlineLevel="2"/>
    <col min="9" max="9" width="8.8515625" style="0" customWidth="1" outlineLevel="2"/>
    <col min="10" max="10" width="10.140625" style="0" customWidth="1" outlineLevel="1"/>
    <col min="11" max="11" width="7.00390625" style="0" customWidth="1" outlineLevel="1"/>
    <col min="16" max="16" width="7.140625" style="0" customWidth="1"/>
  </cols>
  <sheetData>
    <row r="2" spans="5:9" ht="18.75">
      <c r="E2" s="75" t="s">
        <v>60</v>
      </c>
      <c r="F2" s="76"/>
      <c r="G2" s="76"/>
      <c r="H2" s="76"/>
      <c r="I2" s="76"/>
    </row>
    <row r="3" ht="15.75" thickBot="1"/>
    <row r="4" spans="1:12" ht="15.75" thickBot="1">
      <c r="A4" s="29"/>
      <c r="B4" s="42" t="s">
        <v>26</v>
      </c>
      <c r="C4" s="43"/>
      <c r="D4" s="43"/>
      <c r="E4" s="43"/>
      <c r="F4" s="43"/>
      <c r="G4" s="43"/>
      <c r="H4" s="43"/>
      <c r="I4" s="43"/>
      <c r="J4" s="43"/>
      <c r="K4" s="43"/>
      <c r="L4" s="44"/>
    </row>
    <row r="5" spans="1:19" ht="15.75" thickBot="1">
      <c r="A5" s="29"/>
      <c r="B5" s="15"/>
      <c r="C5" s="15"/>
      <c r="D5" s="15"/>
      <c r="E5" s="15"/>
      <c r="F5" s="15"/>
      <c r="G5" s="9"/>
      <c r="H5" s="9"/>
      <c r="I5" s="9"/>
      <c r="J5" s="9"/>
      <c r="K5" s="9"/>
      <c r="L5" s="9"/>
      <c r="M5" s="9"/>
      <c r="N5" s="30" t="s">
        <v>45</v>
      </c>
      <c r="O5" s="31"/>
      <c r="P5" s="31"/>
      <c r="Q5" s="32"/>
      <c r="R5" s="9"/>
      <c r="S5" s="9"/>
    </row>
    <row r="6" spans="1:17" ht="21" thickTop="1">
      <c r="A6" s="25"/>
      <c r="B6" s="14"/>
      <c r="C6" s="14"/>
      <c r="D6" s="14"/>
      <c r="E6" s="14"/>
      <c r="F6" s="16"/>
      <c r="H6" s="40" t="s">
        <v>61</v>
      </c>
      <c r="I6" s="41"/>
      <c r="J6" s="40"/>
      <c r="K6" s="40"/>
      <c r="L6" s="41"/>
      <c r="N6" s="33" t="s">
        <v>46</v>
      </c>
      <c r="O6" s="29"/>
      <c r="P6" s="29"/>
      <c r="Q6" s="34"/>
    </row>
    <row r="7" spans="1:17" ht="15">
      <c r="A7" s="25"/>
      <c r="B7" s="14"/>
      <c r="C7" s="38">
        <v>100</v>
      </c>
      <c r="D7" s="45" t="s">
        <v>0</v>
      </c>
      <c r="E7" s="45" t="s">
        <v>4</v>
      </c>
      <c r="F7" s="17"/>
      <c r="N7" s="35" t="s">
        <v>47</v>
      </c>
      <c r="O7" s="36"/>
      <c r="P7" s="36"/>
      <c r="Q7" s="7"/>
    </row>
    <row r="8" spans="1:12" ht="15.75" thickBot="1">
      <c r="A8" s="25"/>
      <c r="B8" s="14"/>
      <c r="C8" s="27">
        <v>725</v>
      </c>
      <c r="D8" s="45" t="s">
        <v>2</v>
      </c>
      <c r="E8" s="45" t="s">
        <v>5</v>
      </c>
      <c r="F8" s="17"/>
      <c r="G8" s="19"/>
      <c r="H8" s="69"/>
      <c r="I8" s="18"/>
      <c r="J8" s="18"/>
      <c r="K8" s="18"/>
      <c r="L8" s="18"/>
    </row>
    <row r="9" spans="1:14" ht="15.75" thickTop="1">
      <c r="A9" s="25"/>
      <c r="B9" s="14"/>
      <c r="C9" s="39">
        <v>1800</v>
      </c>
      <c r="D9" s="46" t="s">
        <v>1</v>
      </c>
      <c r="E9" s="46" t="s">
        <v>3</v>
      </c>
      <c r="F9" s="14"/>
      <c r="G9" s="14"/>
      <c r="H9" s="14"/>
      <c r="I9" s="14"/>
      <c r="J9" s="14"/>
      <c r="K9" s="14"/>
      <c r="L9" s="16"/>
      <c r="N9" s="77"/>
    </row>
    <row r="10" spans="1:13" ht="15">
      <c r="A10" s="25"/>
      <c r="B10" s="14"/>
      <c r="C10" s="1">
        <v>1</v>
      </c>
      <c r="D10" s="47" t="s">
        <v>6</v>
      </c>
      <c r="E10" s="84">
        <v>12</v>
      </c>
      <c r="F10" s="48" t="s">
        <v>7</v>
      </c>
      <c r="G10" s="50" t="s">
        <v>8</v>
      </c>
      <c r="H10" s="49" t="s">
        <v>9</v>
      </c>
      <c r="I10" s="1"/>
      <c r="J10" s="84">
        <v>70</v>
      </c>
      <c r="K10" s="49" t="s">
        <v>10</v>
      </c>
      <c r="L10" s="17"/>
      <c r="M10" s="5"/>
    </row>
    <row r="11" spans="1:12" ht="15.75" thickBot="1">
      <c r="A11" s="25"/>
      <c r="B11" s="14"/>
      <c r="C11" s="2" t="s">
        <v>11</v>
      </c>
      <c r="D11" s="1"/>
      <c r="E11" s="6"/>
      <c r="F11" s="37">
        <v>30</v>
      </c>
      <c r="G11" s="51" t="s">
        <v>12</v>
      </c>
      <c r="H11" s="51" t="s">
        <v>13</v>
      </c>
      <c r="I11" s="14"/>
      <c r="J11" s="20"/>
      <c r="K11" s="20"/>
      <c r="L11" s="21"/>
    </row>
    <row r="12" spans="1:9" ht="15.75" thickTop="1">
      <c r="A12" s="25"/>
      <c r="B12" s="14"/>
      <c r="C12" s="8" t="s">
        <v>14</v>
      </c>
      <c r="D12" s="3"/>
      <c r="E12" s="4"/>
      <c r="F12" s="8">
        <v>43</v>
      </c>
      <c r="G12" s="52" t="s">
        <v>15</v>
      </c>
      <c r="H12" s="14"/>
      <c r="I12" s="17"/>
    </row>
    <row r="13" spans="1:9" ht="15">
      <c r="A13" s="25"/>
      <c r="B13" s="14"/>
      <c r="C13" s="8" t="s">
        <v>16</v>
      </c>
      <c r="D13" s="4"/>
      <c r="E13" s="89">
        <v>0</v>
      </c>
      <c r="F13" s="49" t="s">
        <v>10</v>
      </c>
      <c r="G13" s="53" t="s">
        <v>20</v>
      </c>
      <c r="H13" s="4"/>
      <c r="I13" s="17"/>
    </row>
    <row r="14" spans="1:9" ht="15">
      <c r="A14" s="25"/>
      <c r="B14" s="14"/>
      <c r="C14" s="8" t="s">
        <v>16</v>
      </c>
      <c r="D14" s="4"/>
      <c r="E14" s="88">
        <v>20</v>
      </c>
      <c r="F14" s="49" t="s">
        <v>10</v>
      </c>
      <c r="G14" s="53" t="s">
        <v>19</v>
      </c>
      <c r="H14" s="4"/>
      <c r="I14" s="17"/>
    </row>
    <row r="15" spans="1:9" ht="15">
      <c r="A15" s="25"/>
      <c r="B15" s="14"/>
      <c r="C15" s="80" t="s">
        <v>64</v>
      </c>
      <c r="D15" s="85"/>
      <c r="E15" s="87">
        <v>1.6</v>
      </c>
      <c r="F15" s="80" t="s">
        <v>65</v>
      </c>
      <c r="G15" s="86"/>
      <c r="H15" s="85"/>
      <c r="I15" s="17"/>
    </row>
    <row r="16" spans="1:13" ht="15.75" thickBot="1">
      <c r="A16" s="25"/>
      <c r="B16" s="14"/>
      <c r="C16" s="8" t="s">
        <v>68</v>
      </c>
      <c r="D16" s="3"/>
      <c r="E16" s="91">
        <v>6500</v>
      </c>
      <c r="F16" s="48" t="s">
        <v>69</v>
      </c>
      <c r="G16" s="78"/>
      <c r="H16" s="4"/>
      <c r="I16" s="17"/>
      <c r="M16" s="13" t="s">
        <v>23</v>
      </c>
    </row>
    <row r="17" spans="1:17" ht="15.75" thickBot="1">
      <c r="A17" s="25"/>
      <c r="B17" s="14"/>
      <c r="C17" s="8" t="s">
        <v>73</v>
      </c>
      <c r="D17" s="3"/>
      <c r="E17" s="96">
        <v>2</v>
      </c>
      <c r="F17" s="48"/>
      <c r="G17" s="78"/>
      <c r="H17" s="4"/>
      <c r="I17" s="17"/>
      <c r="J17" s="26"/>
      <c r="K17" s="22">
        <v>1</v>
      </c>
      <c r="L17" s="10" t="s">
        <v>21</v>
      </c>
      <c r="M17" s="11"/>
      <c r="N17" s="11"/>
      <c r="O17" s="11"/>
      <c r="P17" s="11"/>
      <c r="Q17" s="12"/>
    </row>
    <row r="18" spans="1:17" ht="15.75" thickBot="1">
      <c r="A18" s="25"/>
      <c r="B18" s="14"/>
      <c r="C18" s="8" t="s">
        <v>74</v>
      </c>
      <c r="D18" s="3"/>
      <c r="E18" s="90">
        <v>4</v>
      </c>
      <c r="F18" s="48" t="s">
        <v>77</v>
      </c>
      <c r="G18" s="78"/>
      <c r="H18" s="4"/>
      <c r="I18" s="17"/>
      <c r="J18" s="26"/>
      <c r="K18" s="23">
        <v>2</v>
      </c>
      <c r="L18" s="10" t="s">
        <v>22</v>
      </c>
      <c r="M18" s="11"/>
      <c r="N18" s="11"/>
      <c r="O18" s="11"/>
      <c r="P18" s="11"/>
      <c r="Q18" s="12"/>
    </row>
    <row r="19" spans="1:17" ht="15.75" thickBot="1">
      <c r="A19" s="25"/>
      <c r="B19" s="14"/>
      <c r="C19" s="14"/>
      <c r="D19" s="14"/>
      <c r="E19" s="14"/>
      <c r="F19" s="14"/>
      <c r="G19" s="14"/>
      <c r="H19" s="14"/>
      <c r="I19" s="17"/>
      <c r="J19" s="26"/>
      <c r="K19" s="24">
        <v>3</v>
      </c>
      <c r="L19" s="10" t="s">
        <v>24</v>
      </c>
      <c r="M19" s="11"/>
      <c r="N19" s="11"/>
      <c r="O19" s="11"/>
      <c r="P19" s="11"/>
      <c r="Q19" s="12"/>
    </row>
    <row r="20" spans="1:13" ht="15">
      <c r="A20" s="25"/>
      <c r="B20" s="14"/>
      <c r="C20" s="14"/>
      <c r="D20" s="14"/>
      <c r="E20" s="14"/>
      <c r="F20" s="14"/>
      <c r="G20" s="14"/>
      <c r="H20" s="14"/>
      <c r="I20" s="17"/>
      <c r="M20" s="28" t="s">
        <v>25</v>
      </c>
    </row>
    <row r="21" spans="1:9" ht="15">
      <c r="A21" s="25"/>
      <c r="B21" s="14"/>
      <c r="C21" s="2" t="s">
        <v>62</v>
      </c>
      <c r="D21" s="1"/>
      <c r="E21" s="1"/>
      <c r="F21" s="1"/>
      <c r="G21" s="60">
        <f>F52*E17</f>
        <v>12.083333333333334</v>
      </c>
      <c r="H21" s="61" t="s">
        <v>48</v>
      </c>
      <c r="I21" s="17"/>
    </row>
    <row r="22" spans="1:9" ht="15">
      <c r="A22" s="25"/>
      <c r="B22" s="14"/>
      <c r="C22" s="8" t="s">
        <v>80</v>
      </c>
      <c r="D22" s="3"/>
      <c r="E22" s="3"/>
      <c r="F22" s="4"/>
      <c r="G22" s="57">
        <f>L42*E17</f>
        <v>52.75624461670973</v>
      </c>
      <c r="H22" s="62" t="s">
        <v>48</v>
      </c>
      <c r="I22" s="17"/>
    </row>
    <row r="23" spans="1:9" ht="15">
      <c r="A23" s="25"/>
      <c r="B23" s="14"/>
      <c r="C23" s="80" t="s">
        <v>81</v>
      </c>
      <c r="D23" s="81"/>
      <c r="E23" s="3"/>
      <c r="F23" s="4"/>
      <c r="G23" s="57">
        <f>L43*E17</f>
        <v>48.449612403100765</v>
      </c>
      <c r="H23" s="62" t="s">
        <v>48</v>
      </c>
      <c r="I23" s="17"/>
    </row>
    <row r="24" spans="1:9" ht="15">
      <c r="A24" s="25"/>
      <c r="B24" s="14"/>
      <c r="C24" s="80" t="s">
        <v>75</v>
      </c>
      <c r="D24" s="92"/>
      <c r="E24" s="82"/>
      <c r="F24" s="4"/>
      <c r="G24" s="94">
        <f>SUM(G23/C8)</f>
        <v>0.06682705159048381</v>
      </c>
      <c r="H24" s="83" t="s">
        <v>67</v>
      </c>
      <c r="I24" s="17"/>
    </row>
    <row r="25" spans="1:9" ht="15">
      <c r="A25" s="25"/>
      <c r="B25" s="14"/>
      <c r="C25" s="8" t="s">
        <v>70</v>
      </c>
      <c r="D25" s="3"/>
      <c r="E25" s="48" t="s">
        <v>71</v>
      </c>
      <c r="F25" s="4"/>
      <c r="G25" s="98">
        <f>SUM(E16*365)*E17</f>
        <v>4745000</v>
      </c>
      <c r="H25" s="62"/>
      <c r="I25" s="17"/>
    </row>
    <row r="26" spans="1:9" ht="15">
      <c r="A26" s="25"/>
      <c r="B26" s="99"/>
      <c r="C26" s="103" t="s">
        <v>76</v>
      </c>
      <c r="F26" s="85"/>
      <c r="G26" s="100">
        <f>SUM(G25*(L43/C8))</f>
        <v>158547.17989842285</v>
      </c>
      <c r="H26" s="83" t="s">
        <v>67</v>
      </c>
      <c r="I26" s="17"/>
    </row>
    <row r="27" spans="1:9" ht="15">
      <c r="A27" s="25"/>
      <c r="B27" s="99"/>
      <c r="D27" s="81"/>
      <c r="E27" s="81"/>
      <c r="F27" s="105" t="s">
        <v>82</v>
      </c>
      <c r="G27" s="102">
        <f>SUM(E34*G26)/1000</f>
        <v>406673.51643945463</v>
      </c>
      <c r="H27" s="62" t="s">
        <v>83</v>
      </c>
      <c r="I27" s="17"/>
    </row>
    <row r="28" spans="1:9" ht="15">
      <c r="A28" s="25"/>
      <c r="B28" s="101"/>
      <c r="C28" s="8" t="s">
        <v>84</v>
      </c>
      <c r="D28" s="48"/>
      <c r="E28" s="48"/>
      <c r="F28" s="106"/>
      <c r="G28" s="104">
        <f>SUM(G27/25)</f>
        <v>16266.940657578185</v>
      </c>
      <c r="H28" s="62" t="s">
        <v>85</v>
      </c>
      <c r="I28" s="17"/>
    </row>
    <row r="29" spans="1:9" ht="15">
      <c r="A29" s="25"/>
      <c r="B29" s="14"/>
      <c r="C29" s="8" t="s">
        <v>72</v>
      </c>
      <c r="D29" s="3"/>
      <c r="E29" s="93" t="s">
        <v>79</v>
      </c>
      <c r="F29" s="49"/>
      <c r="G29" s="95">
        <f>SUM(E15)*G24</f>
        <v>0.10692328254477411</v>
      </c>
      <c r="H29" s="62"/>
      <c r="I29" s="17"/>
    </row>
    <row r="30" spans="1:9" ht="15">
      <c r="A30" s="25"/>
      <c r="B30" s="14"/>
      <c r="C30" s="8" t="s">
        <v>78</v>
      </c>
      <c r="D30" s="3"/>
      <c r="E30" s="93"/>
      <c r="F30" s="48"/>
      <c r="G30" s="97">
        <f>SUM(((1-H47)*E16*365*G23)/C8)*E15</f>
        <v>243528.46832397755</v>
      </c>
      <c r="H30" s="62"/>
      <c r="I30" s="17"/>
    </row>
    <row r="31" spans="1:9" ht="15.75" thickBot="1">
      <c r="A31" s="25"/>
      <c r="B31" s="20"/>
      <c r="C31" s="20"/>
      <c r="D31" s="20"/>
      <c r="E31" s="20"/>
      <c r="F31" s="20"/>
      <c r="G31" s="20"/>
      <c r="H31" s="20"/>
      <c r="I31" s="21"/>
    </row>
    <row r="32" ht="15.75" thickTop="1">
      <c r="A32" s="29"/>
    </row>
    <row r="33" spans="2:10" ht="15">
      <c r="B33" s="8" t="s">
        <v>37</v>
      </c>
      <c r="C33" s="48"/>
      <c r="D33" s="55">
        <v>1</v>
      </c>
      <c r="E33" s="54" t="s">
        <v>44</v>
      </c>
      <c r="F33" s="55">
        <f>E10</f>
        <v>12</v>
      </c>
      <c r="G33" s="56" t="s">
        <v>43</v>
      </c>
      <c r="H33" s="49"/>
      <c r="J33" s="79"/>
    </row>
    <row r="34" spans="2:8" ht="15">
      <c r="B34" s="8" t="s">
        <v>34</v>
      </c>
      <c r="C34" s="54">
        <f>D33</f>
        <v>1</v>
      </c>
      <c r="D34" s="54" t="s">
        <v>35</v>
      </c>
      <c r="E34" s="54">
        <v>2565</v>
      </c>
      <c r="F34" s="54" t="s">
        <v>42</v>
      </c>
      <c r="G34" s="63">
        <f>SUM(D33*(631+1934)/F33)</f>
        <v>213.75</v>
      </c>
      <c r="H34" s="49" t="s">
        <v>36</v>
      </c>
    </row>
    <row r="36" spans="2:9" ht="15">
      <c r="B36" s="2" t="s">
        <v>62</v>
      </c>
      <c r="C36" s="1"/>
      <c r="D36" s="3"/>
      <c r="E36" s="3"/>
      <c r="F36" s="4"/>
      <c r="G36" s="57">
        <f>SUM(G34/1000)*C7</f>
        <v>21.375</v>
      </c>
      <c r="H36" s="58" t="s">
        <v>63</v>
      </c>
      <c r="I36" s="59"/>
    </row>
    <row r="37" spans="2:9" ht="15">
      <c r="B37" s="37" t="s">
        <v>49</v>
      </c>
      <c r="C37" s="36"/>
      <c r="D37" s="36"/>
      <c r="E37" s="36"/>
      <c r="F37" s="7"/>
      <c r="G37" s="57">
        <f>SUM(G36*(G23/G21))</f>
        <v>85.70569366479549</v>
      </c>
      <c r="H37" s="58" t="s">
        <v>63</v>
      </c>
      <c r="I37" s="59"/>
    </row>
    <row r="38" spans="11:19" ht="15">
      <c r="K38" s="71"/>
      <c r="L38" s="71"/>
      <c r="M38" s="71"/>
      <c r="N38" s="71"/>
      <c r="O38" s="71"/>
      <c r="P38" s="71"/>
      <c r="Q38" s="71"/>
      <c r="R38" s="71"/>
      <c r="S38" s="70"/>
    </row>
    <row r="39" spans="2:19" ht="15">
      <c r="B39" t="s">
        <v>28</v>
      </c>
      <c r="J39" s="71"/>
      <c r="K39" s="71"/>
      <c r="L39" s="71"/>
      <c r="M39" s="71"/>
      <c r="N39" s="71"/>
      <c r="O39" s="71"/>
      <c r="P39" s="71"/>
      <c r="Q39" s="71"/>
      <c r="R39" s="71"/>
      <c r="S39" s="71"/>
    </row>
    <row r="40" spans="2:20" ht="15">
      <c r="B40" s="5" t="s">
        <v>27</v>
      </c>
      <c r="J40" s="71">
        <f>SUM(H50-I50)</f>
        <v>-12521.913580246914</v>
      </c>
      <c r="K40" s="71"/>
      <c r="L40" s="71"/>
      <c r="M40" s="71"/>
      <c r="N40" s="71"/>
      <c r="O40" s="71"/>
      <c r="P40" s="71"/>
      <c r="Q40" s="71"/>
      <c r="R40" s="71"/>
      <c r="S40" s="71"/>
      <c r="T40" s="65"/>
    </row>
    <row r="41" spans="2:20" ht="15">
      <c r="B41" t="s">
        <v>29</v>
      </c>
      <c r="J41" s="71"/>
      <c r="K41" s="71"/>
      <c r="L41" s="71"/>
      <c r="M41" s="71"/>
      <c r="N41" s="71" t="s">
        <v>17</v>
      </c>
      <c r="O41" s="71"/>
      <c r="P41" s="71"/>
      <c r="Q41" s="71"/>
      <c r="R41" s="71"/>
      <c r="S41" s="71"/>
      <c r="T41" s="65"/>
    </row>
    <row r="42" spans="2:20" ht="15">
      <c r="B42" t="s">
        <v>30</v>
      </c>
      <c r="J42" s="71"/>
      <c r="K42" s="71"/>
      <c r="L42" s="71">
        <f>SUM(G53)/J43</f>
        <v>26.378122308354865</v>
      </c>
      <c r="M42" s="71"/>
      <c r="N42" s="71" t="s">
        <v>66</v>
      </c>
      <c r="O42" s="71"/>
      <c r="P42" s="71"/>
      <c r="Q42" s="71"/>
      <c r="R42" s="71"/>
      <c r="S42" s="71"/>
      <c r="T42" s="65"/>
    </row>
    <row r="43" spans="2:20" ht="15">
      <c r="B43" t="s">
        <v>31</v>
      </c>
      <c r="J43" s="71">
        <f>SUM(H53)*I53</f>
        <v>12900</v>
      </c>
      <c r="K43" s="71"/>
      <c r="L43" s="71">
        <f>SUM(J44/J43)</f>
        <v>24.224806201550383</v>
      </c>
      <c r="M43" s="71"/>
      <c r="N43" s="71" t="s">
        <v>18</v>
      </c>
      <c r="O43" s="71"/>
      <c r="P43" s="71"/>
      <c r="Q43" s="71"/>
      <c r="R43" s="71"/>
      <c r="S43" s="71"/>
      <c r="T43" s="65"/>
    </row>
    <row r="44" spans="2:20" ht="15">
      <c r="B44" t="s">
        <v>33</v>
      </c>
      <c r="J44" s="71">
        <f>SUM(C53*I54)</f>
        <v>312499.99999999994</v>
      </c>
      <c r="K44" s="70"/>
      <c r="L44" s="70"/>
      <c r="M44" s="70"/>
      <c r="N44" s="70"/>
      <c r="O44" s="70"/>
      <c r="P44" s="70"/>
      <c r="Q44" s="70"/>
      <c r="R44" s="70"/>
      <c r="S44" s="70"/>
      <c r="T44" s="65"/>
    </row>
    <row r="45" spans="5:20" ht="15">
      <c r="E45" s="28"/>
      <c r="J45" s="70"/>
      <c r="K45" s="65"/>
      <c r="L45" s="65"/>
      <c r="M45" s="65"/>
      <c r="N45" s="65"/>
      <c r="O45" s="65"/>
      <c r="P45" s="65"/>
      <c r="Q45" s="65"/>
      <c r="R45" s="65"/>
      <c r="S45" s="65"/>
      <c r="T45" s="65"/>
    </row>
    <row r="46" spans="2:20" ht="15">
      <c r="B46" t="s">
        <v>32</v>
      </c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</row>
    <row r="47" spans="8:20" ht="15">
      <c r="H47" s="65">
        <f>SUM(E18/100)</f>
        <v>0.04</v>
      </c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</row>
    <row r="48" ht="15">
      <c r="J48" s="65"/>
    </row>
    <row r="49" spans="2:9" ht="15">
      <c r="B49" s="71"/>
      <c r="C49" s="71"/>
      <c r="D49" s="71"/>
      <c r="E49" s="71"/>
      <c r="F49" s="71"/>
      <c r="G49" s="71"/>
      <c r="H49" s="71"/>
      <c r="I49" s="71"/>
    </row>
    <row r="50" spans="2:9" ht="15">
      <c r="B50" s="71"/>
      <c r="C50" s="71"/>
      <c r="D50" s="71"/>
      <c r="E50" s="71"/>
      <c r="F50" s="71"/>
      <c r="G50" s="71"/>
      <c r="H50" s="71">
        <f>F53</f>
        <v>378.0864197530864</v>
      </c>
      <c r="I50" s="71">
        <f>J43</f>
        <v>12900</v>
      </c>
    </row>
    <row r="51" spans="2:9" ht="15">
      <c r="B51" s="71"/>
      <c r="C51" s="71"/>
      <c r="D51" s="71"/>
      <c r="E51" s="71"/>
      <c r="F51" s="71"/>
      <c r="G51" s="71"/>
      <c r="H51" s="71"/>
      <c r="I51" s="71"/>
    </row>
    <row r="52" spans="2:9" ht="15">
      <c r="B52" s="71">
        <v>1</v>
      </c>
      <c r="C52" s="74">
        <f>C7</f>
        <v>100</v>
      </c>
      <c r="D52" s="74">
        <f>SUM(E10*1000)</f>
        <v>12000</v>
      </c>
      <c r="E52" s="74">
        <f>C8</f>
        <v>725</v>
      </c>
      <c r="F52" s="71">
        <f>SUM(C52/D52)*E52</f>
        <v>6.041666666666667</v>
      </c>
      <c r="G52" s="71"/>
      <c r="H52" s="71"/>
      <c r="I52" s="71"/>
    </row>
    <row r="53" spans="2:9" ht="15">
      <c r="B53" s="71">
        <v>2</v>
      </c>
      <c r="C53" s="71">
        <f>SUM(C9*0.5)</f>
        <v>900</v>
      </c>
      <c r="D53" s="72">
        <v>3.6</v>
      </c>
      <c r="E53" s="73">
        <f>SUM(J10)/D53</f>
        <v>19.444444444444443</v>
      </c>
      <c r="F53" s="71">
        <f>SUMSQ(E53)</f>
        <v>378.0864197530864</v>
      </c>
      <c r="G53" s="71">
        <f>SUM(C53)*F53</f>
        <v>340277.77777777775</v>
      </c>
      <c r="H53" s="71">
        <f>SUM(F11)/100</f>
        <v>0.3</v>
      </c>
      <c r="I53" s="71">
        <f>SUM(F12)*1000</f>
        <v>43000</v>
      </c>
    </row>
    <row r="54" spans="2:9" ht="15">
      <c r="B54" s="71">
        <v>3</v>
      </c>
      <c r="C54" s="71">
        <f>C53</f>
        <v>900</v>
      </c>
      <c r="D54" s="71"/>
      <c r="E54" s="71"/>
      <c r="F54" s="71">
        <f>G53</f>
        <v>340277.77777777775</v>
      </c>
      <c r="G54" s="71">
        <f>SUM(E14)/D53</f>
        <v>5.555555555555555</v>
      </c>
      <c r="H54" s="71">
        <f>SUMSQ(G54)</f>
        <v>30.864197530864196</v>
      </c>
      <c r="I54" s="71">
        <f>SUM(F53-H54)</f>
        <v>347.2222222222222</v>
      </c>
    </row>
    <row r="55" spans="2:9" ht="15">
      <c r="B55" s="70"/>
      <c r="C55" s="70"/>
      <c r="D55" s="70"/>
      <c r="E55" s="70"/>
      <c r="F55" s="70"/>
      <c r="G55" s="70"/>
      <c r="H55" s="70"/>
      <c r="I55" s="70"/>
    </row>
    <row r="56" spans="2:9" ht="15">
      <c r="B56" s="65"/>
      <c r="C56" s="65"/>
      <c r="D56" s="65"/>
      <c r="E56" s="65"/>
      <c r="F56" s="65"/>
      <c r="G56" s="65"/>
      <c r="H56" s="65"/>
      <c r="I56" s="65"/>
    </row>
  </sheetData>
  <sheetProtection password="D2DC" sheet="1" objects="1" scenarios="1" selectLockedCells="1"/>
  <hyperlinks>
    <hyperlink ref="H6" r:id="rId1" display="Formule : Door Rob Brouwer"/>
    <hyperlink ref="H6:K6" r:id="rId2" display="Formule : Door Rob Brouwer"/>
  </hyperlinks>
  <printOptions/>
  <pageMargins left="0.7086614173228347" right="0.7086614173228347" top="0.7480314960629921" bottom="0.7480314960629921" header="0.31496062992125984" footer="0.31496062992125984"/>
  <pageSetup fitToHeight="0" fitToWidth="0" orientation="landscape" paperSize="9" scale="67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C1:TOP31"/>
  <sheetViews>
    <sheetView zoomScalePageLayoutView="0" workbookViewId="0" topLeftCell="A1">
      <selection activeCell="B4" sqref="B4"/>
    </sheetView>
  </sheetViews>
  <sheetFormatPr defaultColWidth="9.140625" defaultRowHeight="15"/>
  <sheetData>
    <row r="1" ht="15"/>
    <row r="3" spans="3:5" ht="18">
      <c r="C3" s="64" t="s">
        <v>50</v>
      </c>
      <c r="D3" s="65"/>
      <c r="E3" s="65"/>
    </row>
    <row r="4" spans="3:5" ht="15">
      <c r="C4" s="66"/>
      <c r="D4" s="65"/>
      <c r="E4" s="65"/>
    </row>
    <row r="5" spans="3:5" ht="15">
      <c r="C5" s="67" t="s">
        <v>38</v>
      </c>
      <c r="D5" s="65"/>
      <c r="E5" s="65"/>
    </row>
    <row r="6" spans="3:5" ht="15">
      <c r="C6" s="66"/>
      <c r="D6" s="65"/>
      <c r="E6" s="65"/>
    </row>
    <row r="7" spans="3:5" ht="18">
      <c r="C7" s="66" t="s">
        <v>51</v>
      </c>
      <c r="D7" s="65"/>
      <c r="E7" s="65"/>
    </row>
    <row r="8" spans="3:5" ht="15">
      <c r="C8" s="66"/>
      <c r="D8" s="65"/>
      <c r="E8" s="65"/>
    </row>
    <row r="9" spans="3:5" ht="18">
      <c r="C9" s="66" t="s">
        <v>52</v>
      </c>
      <c r="D9" s="65"/>
      <c r="E9" s="65"/>
    </row>
    <row r="10" spans="3:5" ht="15">
      <c r="C10" s="66"/>
      <c r="D10" s="65"/>
      <c r="E10" s="65"/>
    </row>
    <row r="11" spans="3:5" ht="15">
      <c r="C11" s="67" t="s">
        <v>27</v>
      </c>
      <c r="D11" s="65"/>
      <c r="E11" s="65"/>
    </row>
    <row r="12" spans="3:5" ht="15">
      <c r="C12" s="66"/>
      <c r="D12" s="65"/>
      <c r="E12" s="65"/>
    </row>
    <row r="13" spans="3:5" ht="18">
      <c r="C13" s="66" t="s">
        <v>53</v>
      </c>
      <c r="D13" s="65"/>
      <c r="E13" s="65"/>
    </row>
    <row r="14" spans="3:5" ht="15">
      <c r="C14" s="66"/>
      <c r="D14" s="65"/>
      <c r="E14" s="65"/>
    </row>
    <row r="15" spans="3:5" ht="18">
      <c r="C15" s="66" t="s">
        <v>54</v>
      </c>
      <c r="D15" s="65"/>
      <c r="E15" s="65"/>
    </row>
    <row r="16" spans="3:5" ht="15">
      <c r="C16" s="66"/>
      <c r="D16" s="65"/>
      <c r="E16" s="65"/>
    </row>
    <row r="17" spans="3:5" ht="15">
      <c r="C17" s="67" t="s">
        <v>39</v>
      </c>
      <c r="D17" s="65"/>
      <c r="E17" s="65"/>
    </row>
    <row r="18" spans="3:5" ht="15">
      <c r="C18" s="66"/>
      <c r="D18" s="65"/>
      <c r="E18" s="65"/>
    </row>
    <row r="19" spans="3:5" ht="18">
      <c r="C19" s="66" t="s">
        <v>55</v>
      </c>
      <c r="D19" s="65"/>
      <c r="E19" s="65"/>
    </row>
    <row r="20" spans="3:5" ht="15">
      <c r="C20" s="66"/>
      <c r="D20" s="65"/>
      <c r="E20" s="65"/>
    </row>
    <row r="21" spans="3:5" ht="18">
      <c r="C21" s="66" t="s">
        <v>56</v>
      </c>
      <c r="D21" s="65"/>
      <c r="E21" s="65"/>
    </row>
    <row r="22" spans="3:5" ht="15">
      <c r="C22" s="66"/>
      <c r="D22" s="65"/>
      <c r="E22" s="65"/>
    </row>
    <row r="23" spans="3:5" ht="15">
      <c r="C23" s="67" t="s">
        <v>40</v>
      </c>
      <c r="D23" s="65"/>
      <c r="E23" s="65"/>
    </row>
    <row r="24" spans="3:5" ht="15">
      <c r="C24" s="66"/>
      <c r="D24" s="65"/>
      <c r="E24" s="65"/>
    </row>
    <row r="25" spans="3:5" ht="17.25">
      <c r="C25" s="66" t="s">
        <v>57</v>
      </c>
      <c r="D25" s="65"/>
      <c r="E25" s="65"/>
    </row>
    <row r="26" spans="3:5" ht="15">
      <c r="C26" s="66"/>
      <c r="D26" s="65"/>
      <c r="E26" s="65"/>
    </row>
    <row r="27" spans="3:5" ht="18.75">
      <c r="C27" s="66" t="s">
        <v>58</v>
      </c>
      <c r="D27" s="65"/>
      <c r="E27" s="65"/>
    </row>
    <row r="28" spans="3:5" ht="15">
      <c r="C28" s="66"/>
      <c r="D28" s="65"/>
      <c r="E28" s="65"/>
    </row>
    <row r="29" spans="3:5" ht="18.75">
      <c r="C29" s="66" t="s">
        <v>59</v>
      </c>
      <c r="D29" s="65"/>
      <c r="E29" s="65"/>
    </row>
    <row r="30" spans="3:5" ht="15">
      <c r="C30" s="66"/>
      <c r="D30" s="65"/>
      <c r="E30" s="65"/>
    </row>
    <row r="31" spans="3:5" ht="15">
      <c r="C31" s="68" t="s">
        <v>41</v>
      </c>
      <c r="D31" s="65"/>
      <c r="E31" s="65"/>
    </row>
  </sheetData>
  <sheetProtection selectLockedCells="1" selectUnlockedCells="1"/>
  <hyperlinks>
    <hyperlink ref="C31" location="top" display="top"/>
  </hyperlink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Rob Brouwer</Manager>
  <Company>wireless texel/webdesign texel/AVT Brouwer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Formule berekening</dc:subject>
  <dc:creator>Rob Brouwer</dc:creator>
  <cp:keywords>rotondes</cp:keywords>
  <dc:description>ivm Rotondes</dc:description>
  <cp:lastModifiedBy>laptop2</cp:lastModifiedBy>
  <cp:lastPrinted>2008-07-09T19:44:35Z</cp:lastPrinted>
  <dcterms:created xsi:type="dcterms:W3CDTF">2007-11-01T17:23:13Z</dcterms:created>
  <dcterms:modified xsi:type="dcterms:W3CDTF">2008-07-16T23:46:38Z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